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วันชัยการไฟฟ้า\มหาวิทยาลัยเทคโนโลยีราชมงคลล้านนา\"/>
    </mc:Choice>
  </mc:AlternateContent>
  <xr:revisionPtr revIDLastSave="0" documentId="13_ncr:1_{29A87A25-A3B4-430A-9C24-3D59F01AFFCF}" xr6:coauthVersionLast="47" xr6:coauthVersionMax="47" xr10:uidLastSave="{00000000-0000-0000-0000-000000000000}"/>
  <bookViews>
    <workbookView xWindow="-110" yWindow="-110" windowWidth="16220" windowHeight="8500" xr2:uid="{00000000-000D-0000-FFFF-FFFF00000000}"/>
  </bookViews>
  <sheets>
    <sheet name="130ล้าน4พนห้า3.3471บาท 5ชม.N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2" l="1"/>
  <c r="H9" i="12"/>
  <c r="H8" i="12"/>
  <c r="H7" i="12"/>
  <c r="H5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K21" i="12"/>
  <c r="K22" i="12" s="1"/>
  <c r="V21" i="12"/>
  <c r="U21" i="12"/>
  <c r="U22" i="12" s="1"/>
  <c r="T21" i="12"/>
  <c r="S21" i="12"/>
  <c r="R21" i="12"/>
  <c r="Q21" i="12"/>
  <c r="P21" i="12"/>
  <c r="O21" i="12"/>
  <c r="N21" i="12"/>
  <c r="N22" i="12" s="1"/>
  <c r="M21" i="12"/>
  <c r="M22" i="12" s="1"/>
  <c r="L21" i="12"/>
  <c r="F21" i="12"/>
  <c r="F22" i="12" s="1"/>
  <c r="E21" i="12"/>
  <c r="E22" i="12" s="1"/>
  <c r="V22" i="12"/>
  <c r="R22" i="12"/>
  <c r="O22" i="12"/>
  <c r="T22" i="12"/>
  <c r="S22" i="12"/>
  <c r="Q22" i="12"/>
  <c r="P22" i="12"/>
  <c r="L22" i="12"/>
  <c r="C17" i="12"/>
  <c r="D17" i="12"/>
  <c r="E17" i="12" s="1"/>
  <c r="F17" i="12" s="1"/>
  <c r="G17" i="12" s="1"/>
  <c r="H17" i="12" s="1"/>
  <c r="I17" i="12" s="1"/>
  <c r="J17" i="12" s="1"/>
  <c r="K17" i="12" s="1"/>
  <c r="L17" i="12" s="1"/>
  <c r="M17" i="12" s="1"/>
  <c r="N17" i="12" s="1"/>
  <c r="O17" i="12" s="1"/>
  <c r="P17" i="12" s="1"/>
  <c r="Q17" i="12" s="1"/>
  <c r="R17" i="12" s="1"/>
  <c r="S17" i="12" s="1"/>
  <c r="T17" i="12" s="1"/>
  <c r="U17" i="12" s="1"/>
  <c r="V17" i="12" s="1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F7" i="12"/>
  <c r="F5" i="12"/>
  <c r="B2" i="12"/>
  <c r="I19" i="12"/>
  <c r="I21" i="12" s="1"/>
  <c r="I22" i="12" s="1"/>
  <c r="H19" i="12"/>
  <c r="H21" i="12" s="1"/>
  <c r="H22" i="12" s="1"/>
  <c r="G19" i="12"/>
  <c r="G21" i="12" s="1"/>
  <c r="G22" i="12" s="1"/>
  <c r="F19" i="12"/>
  <c r="E19" i="12"/>
  <c r="D19" i="12"/>
  <c r="D21" i="12" s="1"/>
  <c r="C26" i="12"/>
  <c r="D26" i="12" s="1"/>
  <c r="E26" i="12" s="1"/>
  <c r="F26" i="12" s="1"/>
  <c r="G26" i="12" s="1"/>
  <c r="H26" i="12" s="1"/>
  <c r="I26" i="12" s="1"/>
  <c r="J26" i="12" s="1"/>
  <c r="K26" i="12" s="1"/>
  <c r="L26" i="12" s="1"/>
  <c r="M26" i="12" s="1"/>
  <c r="N26" i="12" s="1"/>
  <c r="O26" i="12" s="1"/>
  <c r="P26" i="12" s="1"/>
  <c r="Q26" i="12" s="1"/>
  <c r="R26" i="12" s="1"/>
  <c r="S26" i="12" s="1"/>
  <c r="T26" i="12" s="1"/>
  <c r="U26" i="12" s="1"/>
  <c r="V26" i="12" s="1"/>
  <c r="F18" i="12"/>
  <c r="G18" i="12" s="1"/>
  <c r="H18" i="12" s="1"/>
  <c r="I18" i="12" s="1"/>
  <c r="J18" i="12" s="1"/>
  <c r="K18" i="12" s="1"/>
  <c r="L18" i="12" s="1"/>
  <c r="M18" i="12" s="1"/>
  <c r="N18" i="12" s="1"/>
  <c r="O18" i="12" s="1"/>
  <c r="P18" i="12" s="1"/>
  <c r="Q18" i="12" s="1"/>
  <c r="R18" i="12" s="1"/>
  <c r="S18" i="12" s="1"/>
  <c r="T18" i="12" s="1"/>
  <c r="U18" i="12" s="1"/>
  <c r="V18" i="12" s="1"/>
  <c r="W16" i="12"/>
  <c r="B15" i="12"/>
  <c r="B21" i="12" s="1"/>
  <c r="W13" i="12"/>
  <c r="J19" i="12" l="1"/>
  <c r="J21" i="12" s="1"/>
  <c r="S12" i="12"/>
  <c r="S15" i="12" s="1"/>
  <c r="W18" i="12"/>
  <c r="X18" i="12" s="1"/>
  <c r="W17" i="12"/>
  <c r="X17" i="12" s="1"/>
  <c r="I12" i="12"/>
  <c r="I15" i="12" s="1"/>
  <c r="L12" i="12"/>
  <c r="L15" i="12" s="1"/>
  <c r="U12" i="12"/>
  <c r="U15" i="12" s="1"/>
  <c r="V12" i="12"/>
  <c r="V15" i="12" s="1"/>
  <c r="D12" i="12"/>
  <c r="N12" i="12"/>
  <c r="E12" i="12"/>
  <c r="O12" i="12"/>
  <c r="M12" i="12"/>
  <c r="F12" i="12"/>
  <c r="P12" i="12"/>
  <c r="G12" i="12"/>
  <c r="Q12" i="12"/>
  <c r="H12" i="12"/>
  <c r="T12" i="12"/>
  <c r="J12" i="12"/>
  <c r="R12" i="12"/>
  <c r="C12" i="12"/>
  <c r="K12" i="12"/>
  <c r="I14" i="12" l="1"/>
  <c r="Q15" i="12"/>
  <c r="H15" i="12"/>
  <c r="E15" i="12"/>
  <c r="K15" i="12"/>
  <c r="D15" i="12"/>
  <c r="D22" i="12" s="1"/>
  <c r="R15" i="12"/>
  <c r="P15" i="12"/>
  <c r="G15" i="12"/>
  <c r="J15" i="12"/>
  <c r="J22" i="12" s="1"/>
  <c r="F15" i="12"/>
  <c r="M15" i="12"/>
  <c r="C15" i="12"/>
  <c r="N15" i="12"/>
  <c r="T15" i="12"/>
  <c r="O15" i="12"/>
  <c r="W12" i="12"/>
  <c r="C21" i="12" l="1"/>
  <c r="C22" i="12" s="1"/>
  <c r="H14" i="12"/>
  <c r="W14" i="12" s="1"/>
  <c r="W19" i="12"/>
  <c r="W15" i="12"/>
  <c r="W20" i="12" l="1"/>
  <c r="W21" i="12"/>
  <c r="B30" i="12"/>
  <c r="C30" i="12" s="1"/>
  <c r="W22" i="12" l="1"/>
  <c r="W23" i="12" s="1"/>
  <c r="W24" i="12" s="1"/>
</calcChain>
</file>

<file path=xl/sharedStrings.xml><?xml version="1.0" encoding="utf-8"?>
<sst xmlns="http://schemas.openxmlformats.org/spreadsheetml/2006/main" count="62" uniqueCount="56">
  <si>
    <t xml:space="preserve">ผลิตไฟฟ้าได้วันละ </t>
  </si>
  <si>
    <t xml:space="preserve">วัน </t>
  </si>
  <si>
    <t xml:space="preserve">ค่าไฟฟ้า คิดยูนิตละ </t>
  </si>
  <si>
    <t>ประมาณการ</t>
  </si>
  <si>
    <t>รายการ</t>
  </si>
  <si>
    <t>ปีที่ 0</t>
  </si>
  <si>
    <t>ปีที่ 1</t>
  </si>
  <si>
    <t>ปีที่ 2</t>
  </si>
  <si>
    <t>ปีที่ 3</t>
  </si>
  <si>
    <t>ปีที่ 4</t>
  </si>
  <si>
    <t>ปีที่ 5</t>
  </si>
  <si>
    <t>ปีที่ 6</t>
  </si>
  <si>
    <t>ปีที่ 7</t>
  </si>
  <si>
    <t>ปีที่ 8</t>
  </si>
  <si>
    <t>ปีที่ 9</t>
  </si>
  <si>
    <t>ปีที่ 10</t>
  </si>
  <si>
    <t>ปีที่ 11</t>
  </si>
  <si>
    <t>ปีที่ 12</t>
  </si>
  <si>
    <t>ปีที่ 13</t>
  </si>
  <si>
    <t>ปีที่ 14</t>
  </si>
  <si>
    <t>ปีที่ 15</t>
  </si>
  <si>
    <t>ปีที่ 16</t>
  </si>
  <si>
    <t>ปีที่ 17</t>
  </si>
  <si>
    <t>ปีที่ 18</t>
  </si>
  <si>
    <t>ปีที่ 19</t>
  </si>
  <si>
    <t>ปีที่ 20</t>
  </si>
  <si>
    <t>รายจ่าย</t>
  </si>
  <si>
    <t>รายรับ</t>
  </si>
  <si>
    <t>ค่าไฟฟ้าจากหน่วยงาน</t>
  </si>
  <si>
    <t>IRR</t>
  </si>
  <si>
    <t>หมายเหตุ</t>
  </si>
  <si>
    <t>ค่าห้องปฏิบัติการ</t>
  </si>
  <si>
    <t>เงินลงทุน (ผู้ลงทุน)</t>
  </si>
  <si>
    <t>เท่า ของเงินลงทุน</t>
  </si>
  <si>
    <t>ผลตอบแทนผู้ลงทุน</t>
  </si>
  <si>
    <t>Break even Point</t>
  </si>
  <si>
    <t xml:space="preserve"> </t>
  </si>
  <si>
    <t>รายได้สะสม</t>
  </si>
  <si>
    <t>ลงทุน</t>
  </si>
  <si>
    <t>จำนวนวันต่อปี</t>
  </si>
  <si>
    <t>TOU</t>
  </si>
  <si>
    <t>Peak</t>
  </si>
  <si>
    <t>Off Peak</t>
  </si>
  <si>
    <t>บาท</t>
  </si>
  <si>
    <t>ค่าใช้จ่ายในการบริหาร</t>
  </si>
  <si>
    <t xml:space="preserve">ผลตอบแทนการดำเนินงาน </t>
  </si>
  <si>
    <t>NPV (rate 5.0%)</t>
  </si>
  <si>
    <r>
      <t>รายได้บริษัท</t>
    </r>
    <r>
      <rPr>
        <i/>
        <sz val="11"/>
        <color rgb="FFC00000"/>
        <rFont val="Calibri"/>
        <family val="2"/>
        <scheme val="minor"/>
      </rPr>
      <t>ก่อนหักภาษี</t>
    </r>
  </si>
  <si>
    <t>จ่ายคืนเงินกู้ (เงินกู้ 130 ล้านบาท)</t>
  </si>
  <si>
    <t>กำไรสุทธิ/ปี</t>
  </si>
  <si>
    <t>กำไรสุทธิ/เดือน</t>
  </si>
  <si>
    <t>กำไรสุทธิ</t>
  </si>
  <si>
    <t>สำรองเงินค่าซ่อมบำรุงอุปกรณ์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</si>
  <si>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5,000</t>
    </r>
    <r>
      <rPr>
        <sz val="10"/>
        <rFont val="Tahoma"/>
        <family val="2"/>
      </rPr>
      <t xml:space="preserve"> ยูนิต)</t>
    </r>
  </si>
  <si>
    <t>ภาษีมูลค่าเพิ่ม (7%)</t>
  </si>
  <si>
    <t>รายได้สุทธิ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</si>
</sst>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$&quot;#,##0.00_);[Red]\(&quot;$&quot;#,##0.00\)"/>
    <numFmt numFmtId="165" formatCode="_(* #,##0.00_);_(* \(#,##0.00\);_(* &quot;-&quot;??_);_(@_)"/>
    <numFmt numFmtId="166" formatCode="_(* #,##0_);_(* \(#,##0\);_(* &quot;-&quot;??_);_(@_)"/>
    <numFmt numFmtId="167" formatCode="_(* #,##0.0000_);_(* \(#,##0.00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ordia New"/>
      <family val="2"/>
    </font>
    <font>
      <sz val="10"/>
      <name val="Tahoma"/>
      <family val="2"/>
    </font>
    <font>
      <sz val="10"/>
      <color rgb="FFFF0000"/>
      <name val="Tahoma"/>
      <family val="2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ahoma"/>
      <family val="2"/>
    </font>
    <font>
      <i/>
      <sz val="10"/>
      <name val="Tahoma"/>
      <family val="2"/>
    </font>
    <font>
      <i/>
      <sz val="11"/>
      <color rgb="FFC00000"/>
      <name val="Calibri"/>
      <family val="2"/>
      <scheme val="minor"/>
    </font>
    <font>
      <i/>
      <sz val="11"/>
      <color theme="8"/>
      <name val="Calibri"/>
      <family val="2"/>
      <scheme val="minor"/>
    </font>
    <font>
      <b/>
      <i/>
      <sz val="11"/>
      <color theme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3" applyFont="1" applyAlignment="1" applyProtection="1">
      <alignment vertical="center"/>
      <protection locked="0"/>
    </xf>
    <xf numFmtId="166" fontId="4" fillId="0" borderId="0" xfId="4" applyNumberFormat="1" applyFont="1" applyFill="1" applyBorder="1" applyAlignment="1" applyProtection="1">
      <alignment vertical="center"/>
      <protection locked="0"/>
    </xf>
    <xf numFmtId="37" fontId="4" fillId="0" borderId="0" xfId="3" applyNumberFormat="1" applyFont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6" fillId="0" borderId="0" xfId="0" applyFont="1"/>
    <xf numFmtId="165" fontId="6" fillId="0" borderId="0" xfId="1" applyFont="1"/>
    <xf numFmtId="165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5" fontId="8" fillId="0" borderId="0" xfId="0" applyNumberFormat="1" applyFont="1"/>
    <xf numFmtId="0" fontId="9" fillId="2" borderId="0" xfId="0" applyFont="1" applyFill="1"/>
    <xf numFmtId="164" fontId="9" fillId="2" borderId="0" xfId="0" applyNumberFormat="1" applyFont="1" applyFill="1"/>
    <xf numFmtId="10" fontId="9" fillId="2" borderId="0" xfId="2" applyNumberFormat="1" applyFont="1" applyFill="1"/>
    <xf numFmtId="0" fontId="10" fillId="0" borderId="0" xfId="0" applyFont="1"/>
    <xf numFmtId="165" fontId="10" fillId="0" borderId="0" xfId="0" applyNumberFormat="1" applyFont="1"/>
    <xf numFmtId="0" fontId="2" fillId="0" borderId="0" xfId="0" applyFont="1"/>
    <xf numFmtId="165" fontId="11" fillId="0" borderId="0" xfId="0" applyNumberFormat="1" applyFont="1"/>
    <xf numFmtId="2" fontId="0" fillId="0" borderId="0" xfId="0" applyNumberFormat="1"/>
    <xf numFmtId="43" fontId="0" fillId="0" borderId="0" xfId="0" applyNumberFormat="1"/>
    <xf numFmtId="165" fontId="9" fillId="2" borderId="0" xfId="1" applyFont="1" applyFill="1"/>
    <xf numFmtId="0" fontId="12" fillId="0" borderId="0" xfId="0" applyFont="1"/>
    <xf numFmtId="165" fontId="12" fillId="0" borderId="0" xfId="0" applyNumberFormat="1" applyFont="1"/>
    <xf numFmtId="0" fontId="13" fillId="0" borderId="0" xfId="3" applyFont="1" applyAlignment="1" applyProtection="1">
      <alignment vertical="center"/>
      <protection locked="0"/>
    </xf>
    <xf numFmtId="0" fontId="14" fillId="3" borderId="0" xfId="3" applyFont="1" applyFill="1" applyAlignment="1" applyProtection="1">
      <alignment vertical="center"/>
      <protection locked="0"/>
    </xf>
    <xf numFmtId="0" fontId="6" fillId="5" borderId="0" xfId="0" applyFont="1" applyFill="1"/>
    <xf numFmtId="166" fontId="11" fillId="5" borderId="0" xfId="0" applyNumberFormat="1" applyFont="1" applyFill="1"/>
    <xf numFmtId="165" fontId="6" fillId="5" borderId="0" xfId="0" applyNumberFormat="1" applyFont="1" applyFill="1"/>
    <xf numFmtId="0" fontId="15" fillId="0" borderId="0" xfId="0" applyFont="1"/>
    <xf numFmtId="165" fontId="15" fillId="0" borderId="0" xfId="0" applyNumberFormat="1" applyFont="1"/>
    <xf numFmtId="167" fontId="4" fillId="4" borderId="0" xfId="1" applyNumberFormat="1" applyFont="1" applyFill="1" applyAlignment="1" applyProtection="1">
      <alignment vertical="center"/>
      <protection locked="0"/>
    </xf>
    <xf numFmtId="0" fontId="16" fillId="0" borderId="0" xfId="0" applyFont="1"/>
    <xf numFmtId="165" fontId="16" fillId="0" borderId="0" xfId="0" applyNumberFormat="1" applyFont="1"/>
    <xf numFmtId="165" fontId="17" fillId="0" borderId="0" xfId="0" applyNumberFormat="1" applyFont="1"/>
    <xf numFmtId="43" fontId="19" fillId="6" borderId="0" xfId="0" applyNumberFormat="1" applyFont="1" applyFill="1"/>
    <xf numFmtId="0" fontId="18" fillId="0" borderId="0" xfId="0" applyFont="1"/>
    <xf numFmtId="0" fontId="19" fillId="0" borderId="0" xfId="0" applyFont="1"/>
    <xf numFmtId="0" fontId="20" fillId="0" borderId="0" xfId="0" applyFont="1"/>
    <xf numFmtId="165" fontId="7" fillId="6" borderId="0" xfId="0" applyNumberFormat="1" applyFont="1" applyFill="1"/>
    <xf numFmtId="43" fontId="9" fillId="6" borderId="0" xfId="0" applyNumberFormat="1" applyFont="1" applyFill="1"/>
    <xf numFmtId="43" fontId="17" fillId="0" borderId="0" xfId="0" applyNumberFormat="1" applyFont="1"/>
    <xf numFmtId="165" fontId="18" fillId="0" borderId="0" xfId="0" applyNumberFormat="1" applyFont="1"/>
    <xf numFmtId="0" fontId="12" fillId="7" borderId="0" xfId="0" applyFont="1" applyFill="1"/>
    <xf numFmtId="43" fontId="21" fillId="7" borderId="0" xfId="0" applyNumberFormat="1" applyFont="1" applyFill="1"/>
    <xf numFmtId="165" fontId="0" fillId="0" borderId="0" xfId="1" applyFont="1"/>
    <xf numFmtId="165" fontId="18" fillId="7" borderId="0" xfId="1" applyFont="1" applyFill="1"/>
    <xf numFmtId="0" fontId="8" fillId="0" borderId="0" xfId="0" applyFont="1"/>
    <xf numFmtId="165" fontId="8" fillId="0" borderId="0" xfId="1" applyFont="1"/>
    <xf numFmtId="165" fontId="6" fillId="0" borderId="0" xfId="0" applyNumberFormat="1" applyFont="1" applyFill="1"/>
    <xf numFmtId="165" fontId="16" fillId="0" borderId="0" xfId="0" applyNumberFormat="1" applyFont="1" applyFill="1"/>
    <xf numFmtId="165" fontId="15" fillId="0" borderId="0" xfId="0" applyNumberFormat="1" applyFont="1" applyFill="1"/>
    <xf numFmtId="165" fontId="17" fillId="5" borderId="0" xfId="0" applyNumberFormat="1" applyFont="1" applyFill="1"/>
    <xf numFmtId="165" fontId="12" fillId="0" borderId="0" xfId="1" applyFont="1"/>
    <xf numFmtId="43" fontId="12" fillId="0" borderId="0" xfId="0" applyNumberFormat="1" applyFont="1"/>
    <xf numFmtId="0" fontId="12" fillId="0" borderId="0" xfId="0" applyFont="1" applyFill="1"/>
    <xf numFmtId="1" fontId="12" fillId="0" borderId="0" xfId="0" applyNumberFormat="1" applyFont="1" applyFill="1" applyAlignment="1">
      <alignment horizontal="center"/>
    </xf>
    <xf numFmtId="165" fontId="12" fillId="0" borderId="0" xfId="1" applyFont="1" applyFill="1"/>
    <xf numFmtId="165" fontId="12" fillId="0" borderId="0" xfId="0" applyNumberFormat="1" applyFont="1" applyFill="1"/>
  </cellXfs>
  <cellStyles count="5">
    <cellStyle name="Comma" xfId="1" builtinId="3"/>
    <cellStyle name="Normal" xfId="0" builtinId="0"/>
    <cellStyle name="Normal_ch19" xfId="3" xr:uid="{00000000-0005-0000-0000-000002000000}"/>
    <cellStyle name="Percent" xfId="2" builtinId="5"/>
    <cellStyle name="เครื่องหมายจุลภาค_EXCEL7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'130ล้าน4พนห้า3.3471บาท 5ชม.N'!$A$26</c:f>
              <c:strCache>
                <c:ptCount val="1"/>
                <c:pt idx="0">
                  <c:v>ลงทุน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cat>
            <c:numRef>
              <c:f>'130ล้าน4พนห้า3.3471บาท 5ชม.N'!$B$25:$V$25</c:f>
              <c:numCache>
                <c:formatCode>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'130ล้าน4พนห้า3.3471บาท 5ชม.N'!$B$26:$V$26</c:f>
              <c:numCache>
                <c:formatCode>_(* #,##0.00_);_(* \(#,##0.00\);_(* "-"??_);_(@_)</c:formatCode>
                <c:ptCount val="21"/>
                <c:pt idx="0">
                  <c:v>130000000</c:v>
                </c:pt>
                <c:pt idx="1">
                  <c:v>130000000</c:v>
                </c:pt>
                <c:pt idx="2">
                  <c:v>130000000</c:v>
                </c:pt>
                <c:pt idx="3">
                  <c:v>130000000</c:v>
                </c:pt>
                <c:pt idx="4">
                  <c:v>130000000</c:v>
                </c:pt>
                <c:pt idx="5">
                  <c:v>130000000</c:v>
                </c:pt>
                <c:pt idx="6">
                  <c:v>130000000</c:v>
                </c:pt>
                <c:pt idx="7">
                  <c:v>130000000</c:v>
                </c:pt>
                <c:pt idx="8">
                  <c:v>130000000</c:v>
                </c:pt>
                <c:pt idx="9">
                  <c:v>130000000</c:v>
                </c:pt>
                <c:pt idx="10">
                  <c:v>130000000</c:v>
                </c:pt>
                <c:pt idx="11">
                  <c:v>130000000</c:v>
                </c:pt>
                <c:pt idx="12">
                  <c:v>130000000</c:v>
                </c:pt>
                <c:pt idx="13">
                  <c:v>130000000</c:v>
                </c:pt>
                <c:pt idx="14">
                  <c:v>130000000</c:v>
                </c:pt>
                <c:pt idx="15">
                  <c:v>130000000</c:v>
                </c:pt>
                <c:pt idx="16">
                  <c:v>130000000</c:v>
                </c:pt>
                <c:pt idx="17">
                  <c:v>130000000</c:v>
                </c:pt>
                <c:pt idx="18">
                  <c:v>130000000</c:v>
                </c:pt>
                <c:pt idx="19">
                  <c:v>130000000</c:v>
                </c:pt>
                <c:pt idx="20">
                  <c:v>130000000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D-419F-A73C-BA922CB2D492}"/>
            </c:ext>
          </c:extLst>
        </c:ser>
        <c:ser>
          <c:idx val="1"/>
          <c:order val="1"/>
          <c:tx>
            <c:strRef>
              <c:f>'130ล้าน4พนห้า3.3471บาท 5ชม.N'!$A$27</c:f>
              <c:strCache>
                <c:ptCount val="1"/>
                <c:pt idx="0">
                  <c:v>รายได้สะสม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cat>
            <c:numRef>
              <c:f>'130ล้าน4พนห้า3.3471บาท 5ชม.N'!$B$25:$V$25</c:f>
              <c:numCache>
                <c:formatCode>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'130ล้าน4พนห้า3.3471บาท 5ชม.N'!$B$27:$V$27</c:f>
              <c:numCache>
                <c:formatCode>_(* #,##0.00_);_(* \(#,##0.00\);_(* "-"??_);_(@_)</c:formatCode>
                <c:ptCount val="21"/>
                <c:pt idx="0">
                  <c:v>0</c:v>
                </c:pt>
                <c:pt idx="1">
                  <c:v>4267102.5700500002</c:v>
                </c:pt>
                <c:pt idx="2">
                  <c:v>4087102.5700500002</c:v>
                </c:pt>
                <c:pt idx="3">
                  <c:v>3798102.5700500002</c:v>
                </c:pt>
                <c:pt idx="4">
                  <c:v>3594652.5700500002</c:v>
                </c:pt>
                <c:pt idx="5">
                  <c:v>3381030.0700500002</c:v>
                </c:pt>
                <c:pt idx="6">
                  <c:v>3156726.4450500002</c:v>
                </c:pt>
                <c:pt idx="7">
                  <c:v>2921207.638799998</c:v>
                </c:pt>
                <c:pt idx="8">
                  <c:v>2673912.8922374984</c:v>
                </c:pt>
                <c:pt idx="9">
                  <c:v>20414253.408346877</c:v>
                </c:pt>
                <c:pt idx="10">
                  <c:v>20141610.95026172</c:v>
                </c:pt>
                <c:pt idx="11">
                  <c:v>19855336.369272303</c:v>
                </c:pt>
                <c:pt idx="12">
                  <c:v>19554748.05923342</c:v>
                </c:pt>
                <c:pt idx="13">
                  <c:v>19239130.333692592</c:v>
                </c:pt>
                <c:pt idx="14">
                  <c:v>18907731.721874718</c:v>
                </c:pt>
                <c:pt idx="15">
                  <c:v>18559763.179465953</c:v>
                </c:pt>
                <c:pt idx="16">
                  <c:v>18194396.209936749</c:v>
                </c:pt>
                <c:pt idx="17">
                  <c:v>17810760.891931091</c:v>
                </c:pt>
                <c:pt idx="18">
                  <c:v>17407943.80802514</c:v>
                </c:pt>
                <c:pt idx="19">
                  <c:v>16984985.869923897</c:v>
                </c:pt>
                <c:pt idx="20">
                  <c:v>16540880.034917591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D-419F-A73C-BA922CB2D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5887935"/>
        <c:axId val="1535879775"/>
      </c:lineChart>
      <c:catAx>
        <c:axId val="15358879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5879775"/>
        <c:crosses val="autoZero"/>
        <c:auto val="1"/>
        <c:lblAlgn val="ctr"/>
        <c:lblOffset val="100"/>
        <c:noMultiLvlLbl val="0"/>
      </c:catAx>
      <c:valAx>
        <c:axId val="153587977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crossAx val="1535887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1082962</xdr:colOff>
      <xdr:row>22</xdr:row>
      <xdr:rowOff>30210</xdr:rowOff>
    </xdr:from>
    <xdr:to>
      <xdr:col>11</xdr:col>
      <xdr:colOff>574964</xdr:colOff>
      <xdr:row>47</xdr:row>
      <xdr:rowOff>150477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1F7C4F-04F9-EF1C-FCF7-8ACC17CEC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33"/>
  <sheetViews>
    <sheetView tabSelected="1" zoomScaleNormal="100" workbookViewId="0">
      <selection activeCell="F5" sqref="F5"/>
    </sheetView>
  </sheetViews>
  <sheetFormatPr defaultRowHeight="14.5" x14ac:dyDescent="0.35"/>
  <cols>
    <col min="1" max="1" width="28.36328125" customWidth="1"/>
    <col min="2" max="2" width="15.36328125" bestFit="1" customWidth="1"/>
    <col min="3" max="3" width="14.1796875" customWidth="1"/>
    <col min="4" max="4" width="15.7265625" bestFit="1" customWidth="1"/>
    <col min="5" max="22" width="14.6328125" bestFit="1" customWidth="1"/>
    <col min="23" max="23" width="15.81640625" customWidth="1"/>
    <col min="24" max="24" width="14.6328125" bestFit="1" customWidth="1"/>
  </cols>
  <sheetData>
    <row r="1" spans="1:23" x14ac:dyDescent="0.35">
      <c r="A1" s="16" t="s">
        <v>3</v>
      </c>
      <c r="D1" s="1"/>
    </row>
    <row r="2" spans="1:23" x14ac:dyDescent="0.35">
      <c r="A2" s="1" t="s">
        <v>0</v>
      </c>
      <c r="B2" s="2">
        <f>5000*5</f>
        <v>25000</v>
      </c>
      <c r="C2" s="1" t="s">
        <v>53</v>
      </c>
      <c r="D2" s="1"/>
    </row>
    <row r="3" spans="1:23" x14ac:dyDescent="0.35">
      <c r="A3" s="23" t="s">
        <v>40</v>
      </c>
      <c r="B3" s="2"/>
      <c r="C3" s="1"/>
      <c r="D3" s="1"/>
    </row>
    <row r="4" spans="1:23" x14ac:dyDescent="0.35">
      <c r="A4" s="24" t="s">
        <v>41</v>
      </c>
      <c r="B4" s="2"/>
      <c r="C4" s="1"/>
      <c r="D4" s="1"/>
    </row>
    <row r="5" spans="1:23" x14ac:dyDescent="0.35">
      <c r="A5" s="3" t="s">
        <v>39</v>
      </c>
      <c r="B5" s="3">
        <v>246</v>
      </c>
      <c r="C5" s="1" t="s">
        <v>1</v>
      </c>
      <c r="D5" s="1" t="s">
        <v>2</v>
      </c>
      <c r="F5" s="30">
        <f>3.3471*1.07</f>
        <v>3.5813970000000004</v>
      </c>
      <c r="G5" t="s">
        <v>43</v>
      </c>
      <c r="H5" s="52">
        <f>B2*B5*F5</f>
        <v>22025591.550000001</v>
      </c>
      <c r="I5" s="44"/>
      <c r="J5" s="44"/>
    </row>
    <row r="6" spans="1:23" x14ac:dyDescent="0.35">
      <c r="A6" s="24" t="s">
        <v>42</v>
      </c>
      <c r="B6" s="3"/>
      <c r="C6" s="1"/>
      <c r="D6" s="1"/>
      <c r="H6" s="52"/>
      <c r="I6" s="44"/>
      <c r="J6" s="44"/>
    </row>
    <row r="7" spans="1:23" x14ac:dyDescent="0.35">
      <c r="A7" s="3" t="s">
        <v>39</v>
      </c>
      <c r="B7" s="3">
        <v>119</v>
      </c>
      <c r="C7" s="1" t="s">
        <v>1</v>
      </c>
      <c r="D7" s="1" t="s">
        <v>2</v>
      </c>
      <c r="F7" s="30">
        <f>2.0803*1.07</f>
        <v>2.225921</v>
      </c>
      <c r="G7" t="s">
        <v>43</v>
      </c>
      <c r="H7" s="52">
        <f>B2*B7*F7</f>
        <v>6622114.9750000006</v>
      </c>
      <c r="I7" s="44"/>
      <c r="J7" s="44"/>
      <c r="K7" s="19"/>
    </row>
    <row r="8" spans="1:23" x14ac:dyDescent="0.35">
      <c r="C8" s="1"/>
      <c r="D8" s="1"/>
      <c r="H8" s="53">
        <f>H5+H7</f>
        <v>28647706.525000002</v>
      </c>
      <c r="K8" s="19"/>
    </row>
    <row r="9" spans="1:23" x14ac:dyDescent="0.35">
      <c r="H9" s="53">
        <f>H8*0.97</f>
        <v>27788275.32925</v>
      </c>
    </row>
    <row r="10" spans="1:23" s="4" customFormat="1" x14ac:dyDescent="0.35">
      <c r="A10" s="4" t="s">
        <v>4</v>
      </c>
      <c r="B10" s="4" t="s">
        <v>5</v>
      </c>
      <c r="C10" s="4" t="s">
        <v>6</v>
      </c>
      <c r="D10" s="4" t="s">
        <v>7</v>
      </c>
      <c r="E10" s="4" t="s">
        <v>8</v>
      </c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  <c r="K10" s="4" t="s">
        <v>14</v>
      </c>
      <c r="L10" s="4" t="s">
        <v>15</v>
      </c>
      <c r="M10" s="4" t="s">
        <v>16</v>
      </c>
      <c r="N10" s="4" t="s">
        <v>17</v>
      </c>
      <c r="O10" s="4" t="s">
        <v>18</v>
      </c>
      <c r="P10" s="4" t="s">
        <v>19</v>
      </c>
      <c r="Q10" s="4" t="s">
        <v>20</v>
      </c>
      <c r="R10" s="4" t="s">
        <v>21</v>
      </c>
      <c r="S10" s="4" t="s">
        <v>22</v>
      </c>
      <c r="T10" s="4" t="s">
        <v>23</v>
      </c>
      <c r="U10" s="4" t="s">
        <v>24</v>
      </c>
      <c r="V10" s="4" t="s">
        <v>25</v>
      </c>
    </row>
    <row r="11" spans="1:23" x14ac:dyDescent="0.35">
      <c r="A11" t="s">
        <v>27</v>
      </c>
      <c r="C11" s="19"/>
    </row>
    <row r="12" spans="1:23" x14ac:dyDescent="0.35">
      <c r="A12" s="5" t="s">
        <v>28</v>
      </c>
      <c r="B12" s="6">
        <v>0</v>
      </c>
      <c r="C12" s="6">
        <f>((($B$2*$B$5*$F$5)-((($B$2*$B$5*$F$5)*10%))+((($B$2*$B$7)*$F$7)+((($B$2*$B$5)*$F$7)*10%))))</f>
        <v>27814088.785</v>
      </c>
      <c r="D12" s="6">
        <f t="shared" ref="D12:V12" si="0">((($B$2*$B$5*$F$5)-((($B$2*$B$5*$F$5)*10%))+((($B$2*$B$7)*$F$7)+((($B$2*$B$5)*$F$7)*10%))))</f>
        <v>27814088.785</v>
      </c>
      <c r="E12" s="6">
        <f t="shared" si="0"/>
        <v>27814088.785</v>
      </c>
      <c r="F12" s="6">
        <f t="shared" si="0"/>
        <v>27814088.785</v>
      </c>
      <c r="G12" s="6">
        <f t="shared" si="0"/>
        <v>27814088.785</v>
      </c>
      <c r="H12" s="6">
        <f t="shared" si="0"/>
        <v>27814088.785</v>
      </c>
      <c r="I12" s="6">
        <f t="shared" si="0"/>
        <v>27814088.785</v>
      </c>
      <c r="J12" s="6">
        <f t="shared" si="0"/>
        <v>27814088.785</v>
      </c>
      <c r="K12" s="6">
        <f t="shared" si="0"/>
        <v>27814088.785</v>
      </c>
      <c r="L12" s="6">
        <f t="shared" si="0"/>
        <v>27814088.785</v>
      </c>
      <c r="M12" s="6">
        <f t="shared" si="0"/>
        <v>27814088.785</v>
      </c>
      <c r="N12" s="6">
        <f t="shared" si="0"/>
        <v>27814088.785</v>
      </c>
      <c r="O12" s="6">
        <f t="shared" si="0"/>
        <v>27814088.785</v>
      </c>
      <c r="P12" s="6">
        <f t="shared" si="0"/>
        <v>27814088.785</v>
      </c>
      <c r="Q12" s="6">
        <f t="shared" si="0"/>
        <v>27814088.785</v>
      </c>
      <c r="R12" s="6">
        <f t="shared" si="0"/>
        <v>27814088.785</v>
      </c>
      <c r="S12" s="6">
        <f t="shared" si="0"/>
        <v>27814088.785</v>
      </c>
      <c r="T12" s="6">
        <f t="shared" si="0"/>
        <v>27814088.785</v>
      </c>
      <c r="U12" s="6">
        <f t="shared" si="0"/>
        <v>27814088.785</v>
      </c>
      <c r="V12" s="6">
        <f t="shared" si="0"/>
        <v>27814088.785</v>
      </c>
      <c r="W12" s="9">
        <f>SUM(B12:V12)</f>
        <v>556281775.70000029</v>
      </c>
    </row>
    <row r="13" spans="1:23" s="4" customFormat="1" x14ac:dyDescent="0.35">
      <c r="A13" s="5" t="s">
        <v>32</v>
      </c>
      <c r="B13" s="6">
        <v>130000000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9">
        <f t="shared" ref="W13:W14" si="1">SUM(B13:V13)</f>
        <v>130000000</v>
      </c>
    </row>
    <row r="14" spans="1:23" x14ac:dyDescent="0.35">
      <c r="A14" t="s">
        <v>26</v>
      </c>
      <c r="H14" s="19">
        <f>H15*6</f>
        <v>166884532.71000001</v>
      </c>
      <c r="I14" s="19">
        <f>I15*7</f>
        <v>194698621.495</v>
      </c>
      <c r="W14" s="9">
        <f t="shared" si="1"/>
        <v>361583154.20500004</v>
      </c>
    </row>
    <row r="15" spans="1:23" s="5" customFormat="1" x14ac:dyDescent="0.35">
      <c r="A15" s="5" t="s">
        <v>45</v>
      </c>
      <c r="B15" s="10">
        <f>B13</f>
        <v>130000000</v>
      </c>
      <c r="C15" s="7">
        <f>C12</f>
        <v>27814088.785</v>
      </c>
      <c r="D15" s="7">
        <f t="shared" ref="D15:V15" si="2">D12</f>
        <v>27814088.785</v>
      </c>
      <c r="E15" s="7">
        <f t="shared" si="2"/>
        <v>27814088.785</v>
      </c>
      <c r="F15" s="7">
        <f t="shared" si="2"/>
        <v>27814088.785</v>
      </c>
      <c r="G15" s="7">
        <f t="shared" si="2"/>
        <v>27814088.785</v>
      </c>
      <c r="H15" s="7">
        <f t="shared" si="2"/>
        <v>27814088.785</v>
      </c>
      <c r="I15" s="7">
        <f t="shared" si="2"/>
        <v>27814088.785</v>
      </c>
      <c r="J15" s="7">
        <f t="shared" si="2"/>
        <v>27814088.785</v>
      </c>
      <c r="K15" s="7">
        <f t="shared" si="2"/>
        <v>27814088.785</v>
      </c>
      <c r="L15" s="7">
        <f t="shared" si="2"/>
        <v>27814088.785</v>
      </c>
      <c r="M15" s="7">
        <f t="shared" si="2"/>
        <v>27814088.785</v>
      </c>
      <c r="N15" s="7">
        <f t="shared" si="2"/>
        <v>27814088.785</v>
      </c>
      <c r="O15" s="7">
        <f t="shared" si="2"/>
        <v>27814088.785</v>
      </c>
      <c r="P15" s="7">
        <f t="shared" si="2"/>
        <v>27814088.785</v>
      </c>
      <c r="Q15" s="7">
        <f t="shared" si="2"/>
        <v>27814088.785</v>
      </c>
      <c r="R15" s="7">
        <f t="shared" si="2"/>
        <v>27814088.785</v>
      </c>
      <c r="S15" s="7">
        <f t="shared" si="2"/>
        <v>27814088.785</v>
      </c>
      <c r="T15" s="7">
        <f t="shared" si="2"/>
        <v>27814088.785</v>
      </c>
      <c r="U15" s="7">
        <f t="shared" si="2"/>
        <v>27814088.785</v>
      </c>
      <c r="V15" s="7">
        <f t="shared" si="2"/>
        <v>27814088.785</v>
      </c>
      <c r="W15" s="9">
        <f>SUM(C15:V15)</f>
        <v>556281775.70000029</v>
      </c>
    </row>
    <row r="16" spans="1:23" s="5" customFormat="1" x14ac:dyDescent="0.35">
      <c r="A16" s="5" t="s">
        <v>31</v>
      </c>
      <c r="B16" s="10">
        <v>20000000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9">
        <f>SUM(B16:V16)</f>
        <v>20000000</v>
      </c>
    </row>
    <row r="17" spans="1:24" s="5" customFormat="1" x14ac:dyDescent="0.35">
      <c r="A17" s="5" t="s">
        <v>44</v>
      </c>
      <c r="B17" s="17"/>
      <c r="C17" s="7">
        <f>300000*12</f>
        <v>3600000</v>
      </c>
      <c r="D17" s="7">
        <f>C17*1.05</f>
        <v>3780000</v>
      </c>
      <c r="E17" s="7">
        <f t="shared" ref="E17:M17" si="3">D17*1.05</f>
        <v>3969000</v>
      </c>
      <c r="F17" s="7">
        <f t="shared" si="3"/>
        <v>4167450</v>
      </c>
      <c r="G17" s="7">
        <f t="shared" si="3"/>
        <v>4375822.5</v>
      </c>
      <c r="H17" s="7">
        <f t="shared" si="3"/>
        <v>4594613.625</v>
      </c>
      <c r="I17" s="7">
        <f t="shared" si="3"/>
        <v>4824344.3062500004</v>
      </c>
      <c r="J17" s="48">
        <f t="shared" si="3"/>
        <v>5065561.5215625009</v>
      </c>
      <c r="K17" s="48">
        <f t="shared" si="3"/>
        <v>5318839.5976406261</v>
      </c>
      <c r="L17" s="48">
        <f t="shared" si="3"/>
        <v>5584781.5775226578</v>
      </c>
      <c r="M17" s="48">
        <f t="shared" si="3"/>
        <v>5864020.6563987909</v>
      </c>
      <c r="N17" s="48">
        <f>M17*1.05</f>
        <v>6157221.6892187307</v>
      </c>
      <c r="O17" s="7">
        <f t="shared" ref="O17:V17" si="4">N17*1.05</f>
        <v>6465082.7736796672</v>
      </c>
      <c r="P17" s="7">
        <f t="shared" si="4"/>
        <v>6788336.9123636512</v>
      </c>
      <c r="Q17" s="7">
        <f t="shared" si="4"/>
        <v>7127753.757981834</v>
      </c>
      <c r="R17" s="7">
        <f t="shared" si="4"/>
        <v>7484141.4458809262</v>
      </c>
      <c r="S17" s="7">
        <f t="shared" si="4"/>
        <v>7858348.5181749733</v>
      </c>
      <c r="T17" s="7">
        <f t="shared" si="4"/>
        <v>8251265.9440837223</v>
      </c>
      <c r="U17" s="7">
        <f t="shared" si="4"/>
        <v>8663829.2412879094</v>
      </c>
      <c r="V17" s="7">
        <f t="shared" si="4"/>
        <v>9097020.703352306</v>
      </c>
      <c r="W17" s="38">
        <f>SUM(C17:V17)</f>
        <v>119037434.77039829</v>
      </c>
      <c r="X17" s="39">
        <f>W17/20/12</f>
        <v>495989.31154332618</v>
      </c>
    </row>
    <row r="18" spans="1:24" s="5" customFormat="1" x14ac:dyDescent="0.35">
      <c r="A18" s="5" t="s">
        <v>52</v>
      </c>
      <c r="B18" s="17"/>
      <c r="C18" s="7">
        <v>0</v>
      </c>
      <c r="D18" s="7">
        <v>0</v>
      </c>
      <c r="E18" s="7">
        <v>100000</v>
      </c>
      <c r="F18" s="7">
        <f t="shared" ref="E18:V18" si="5">E18*1.05</f>
        <v>105000</v>
      </c>
      <c r="G18" s="7">
        <f t="shared" si="5"/>
        <v>110250</v>
      </c>
      <c r="H18" s="7">
        <f t="shared" si="5"/>
        <v>115762.5</v>
      </c>
      <c r="I18" s="7">
        <f t="shared" si="5"/>
        <v>121550.625</v>
      </c>
      <c r="J18" s="48">
        <f t="shared" si="5"/>
        <v>127628.15625</v>
      </c>
      <c r="K18" s="48">
        <f t="shared" si="5"/>
        <v>134009.56406249999</v>
      </c>
      <c r="L18" s="48">
        <f t="shared" si="5"/>
        <v>140710.042265625</v>
      </c>
      <c r="M18" s="48">
        <f t="shared" si="5"/>
        <v>147745.54437890626</v>
      </c>
      <c r="N18" s="48">
        <f t="shared" si="5"/>
        <v>155132.82159785158</v>
      </c>
      <c r="O18" s="7">
        <f t="shared" si="5"/>
        <v>162889.46267774416</v>
      </c>
      <c r="P18" s="7">
        <f t="shared" si="5"/>
        <v>171033.93581163138</v>
      </c>
      <c r="Q18" s="7">
        <f t="shared" si="5"/>
        <v>179585.63260221295</v>
      </c>
      <c r="R18" s="7">
        <f t="shared" si="5"/>
        <v>188564.91423232362</v>
      </c>
      <c r="S18" s="7">
        <f t="shared" si="5"/>
        <v>197993.1599439398</v>
      </c>
      <c r="T18" s="7">
        <f t="shared" si="5"/>
        <v>207892.8179411368</v>
      </c>
      <c r="U18" s="7">
        <f t="shared" si="5"/>
        <v>218287.45883819365</v>
      </c>
      <c r="V18" s="7">
        <f t="shared" si="5"/>
        <v>229201.83178010333</v>
      </c>
      <c r="W18" s="38">
        <f>SUM(C18:V18)</f>
        <v>2813238.4673821684</v>
      </c>
      <c r="X18" s="39">
        <f>W18/20/12</f>
        <v>11721.826947425701</v>
      </c>
    </row>
    <row r="19" spans="1:24" s="31" customFormat="1" x14ac:dyDescent="0.35">
      <c r="A19" s="46" t="s">
        <v>48</v>
      </c>
      <c r="B19" s="47"/>
      <c r="C19" s="10">
        <v>18000000</v>
      </c>
      <c r="D19" s="10">
        <f>C19</f>
        <v>18000000</v>
      </c>
      <c r="E19" s="10">
        <f>C19</f>
        <v>18000000</v>
      </c>
      <c r="F19" s="10">
        <f>C19</f>
        <v>18000000</v>
      </c>
      <c r="G19" s="10">
        <f>C19</f>
        <v>18000000</v>
      </c>
      <c r="H19" s="10">
        <f>C19</f>
        <v>18000000</v>
      </c>
      <c r="I19" s="10">
        <f>C19</f>
        <v>18000000</v>
      </c>
      <c r="J19" s="10">
        <f>D19</f>
        <v>18000000</v>
      </c>
      <c r="K19" s="49"/>
      <c r="L19" s="49"/>
      <c r="M19" s="49"/>
      <c r="N19" s="49"/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3">
        <f>SUM(C19:V19)</f>
        <v>144000000</v>
      </c>
      <c r="X19" s="40"/>
    </row>
    <row r="20" spans="1:24" s="28" customFormat="1" x14ac:dyDescent="0.35">
      <c r="A20" s="28" t="s">
        <v>54</v>
      </c>
      <c r="B20" s="29"/>
      <c r="C20" s="29">
        <f>C15*7%</f>
        <v>1946986.2149500002</v>
      </c>
      <c r="D20" s="29">
        <f t="shared" ref="D20:V20" si="6">D15*7%</f>
        <v>1946986.2149500002</v>
      </c>
      <c r="E20" s="29">
        <f t="shared" si="6"/>
        <v>1946986.2149500002</v>
      </c>
      <c r="F20" s="29">
        <f t="shared" si="6"/>
        <v>1946986.2149500002</v>
      </c>
      <c r="G20" s="29">
        <f t="shared" si="6"/>
        <v>1946986.2149500002</v>
      </c>
      <c r="H20" s="29">
        <f t="shared" si="6"/>
        <v>1946986.2149500002</v>
      </c>
      <c r="I20" s="29">
        <f t="shared" si="6"/>
        <v>1946986.2149500002</v>
      </c>
      <c r="J20" s="50">
        <f t="shared" si="6"/>
        <v>1946986.2149500002</v>
      </c>
      <c r="K20" s="50">
        <f t="shared" si="6"/>
        <v>1946986.2149500002</v>
      </c>
      <c r="L20" s="50">
        <f t="shared" si="6"/>
        <v>1946986.2149500002</v>
      </c>
      <c r="M20" s="50">
        <f t="shared" si="6"/>
        <v>1946986.2149500002</v>
      </c>
      <c r="N20" s="50">
        <f t="shared" si="6"/>
        <v>1946986.2149500002</v>
      </c>
      <c r="O20" s="29">
        <f t="shared" si="6"/>
        <v>1946986.2149500002</v>
      </c>
      <c r="P20" s="29">
        <f t="shared" si="6"/>
        <v>1946986.2149500002</v>
      </c>
      <c r="Q20" s="29">
        <f t="shared" si="6"/>
        <v>1946986.2149500002</v>
      </c>
      <c r="R20" s="29">
        <f t="shared" si="6"/>
        <v>1946986.2149500002</v>
      </c>
      <c r="S20" s="29">
        <f t="shared" si="6"/>
        <v>1946986.2149500002</v>
      </c>
      <c r="T20" s="29">
        <f t="shared" si="6"/>
        <v>1946986.2149500002</v>
      </c>
      <c r="U20" s="29">
        <f t="shared" si="6"/>
        <v>1946986.2149500002</v>
      </c>
      <c r="V20" s="29">
        <f t="shared" si="6"/>
        <v>1946986.2149500002</v>
      </c>
      <c r="W20" s="33">
        <f>SUM(C20:V20)</f>
        <v>38939724.299000002</v>
      </c>
      <c r="X20" s="37"/>
    </row>
    <row r="21" spans="1:24" s="5" customFormat="1" x14ac:dyDescent="0.35">
      <c r="A21" s="25" t="s">
        <v>47</v>
      </c>
      <c r="B21" s="26">
        <f>(B15)*-1</f>
        <v>-130000000</v>
      </c>
      <c r="C21" s="27">
        <f>C15-C17-C18-C19</f>
        <v>6214088.7850000001</v>
      </c>
      <c r="D21" s="27">
        <f t="shared" ref="D21:V21" si="7">D15-D17-D18-D19</f>
        <v>6034088.7850000001</v>
      </c>
      <c r="E21" s="27">
        <f t="shared" si="7"/>
        <v>5745088.7850000001</v>
      </c>
      <c r="F21" s="27">
        <f t="shared" si="7"/>
        <v>5541638.7850000001</v>
      </c>
      <c r="G21" s="27">
        <f t="shared" si="7"/>
        <v>5328016.2850000001</v>
      </c>
      <c r="H21" s="27">
        <f t="shared" si="7"/>
        <v>5103712.66</v>
      </c>
      <c r="I21" s="27">
        <f t="shared" si="7"/>
        <v>4868193.8537499979</v>
      </c>
      <c r="J21" s="27">
        <f t="shared" si="7"/>
        <v>4620899.1071874984</v>
      </c>
      <c r="K21" s="27">
        <f t="shared" si="7"/>
        <v>22361239.623296876</v>
      </c>
      <c r="L21" s="27">
        <f t="shared" si="7"/>
        <v>22088597.165211719</v>
      </c>
      <c r="M21" s="27">
        <f t="shared" si="7"/>
        <v>21802322.584222302</v>
      </c>
      <c r="N21" s="27">
        <f t="shared" si="7"/>
        <v>21501734.274183419</v>
      </c>
      <c r="O21" s="27">
        <f t="shared" si="7"/>
        <v>21186116.548642591</v>
      </c>
      <c r="P21" s="27">
        <f t="shared" si="7"/>
        <v>20854717.936824717</v>
      </c>
      <c r="Q21" s="27">
        <f t="shared" si="7"/>
        <v>20506749.394415952</v>
      </c>
      <c r="R21" s="27">
        <f t="shared" si="7"/>
        <v>20141382.424886748</v>
      </c>
      <c r="S21" s="27">
        <f t="shared" si="7"/>
        <v>19757747.10688109</v>
      </c>
      <c r="T21" s="27">
        <f t="shared" si="7"/>
        <v>19354930.022975139</v>
      </c>
      <c r="U21" s="27">
        <f t="shared" si="7"/>
        <v>18931972.084873896</v>
      </c>
      <c r="V21" s="27">
        <f t="shared" si="7"/>
        <v>18487866.249867592</v>
      </c>
      <c r="W21" s="51">
        <f>SUM(C21:V21)-W16</f>
        <v>270431102.4622196</v>
      </c>
      <c r="X21" s="36"/>
    </row>
    <row r="22" spans="1:24" s="21" customFormat="1" x14ac:dyDescent="0.35">
      <c r="A22" s="35" t="s">
        <v>55</v>
      </c>
      <c r="B22" s="22"/>
      <c r="C22" s="41">
        <f>C21-C20</f>
        <v>4267102.5700500002</v>
      </c>
      <c r="D22" s="41">
        <f t="shared" ref="D22:V22" si="8">D21-D20</f>
        <v>4087102.5700500002</v>
      </c>
      <c r="E22" s="41">
        <f t="shared" si="8"/>
        <v>3798102.5700500002</v>
      </c>
      <c r="F22" s="41">
        <f t="shared" si="8"/>
        <v>3594652.5700500002</v>
      </c>
      <c r="G22" s="41">
        <f t="shared" si="8"/>
        <v>3381030.0700500002</v>
      </c>
      <c r="H22" s="41">
        <f t="shared" si="8"/>
        <v>3156726.4450500002</v>
      </c>
      <c r="I22" s="41">
        <f t="shared" si="8"/>
        <v>2921207.638799998</v>
      </c>
      <c r="J22" s="41">
        <f t="shared" si="8"/>
        <v>2673912.8922374984</v>
      </c>
      <c r="K22" s="41">
        <f t="shared" si="8"/>
        <v>20414253.408346877</v>
      </c>
      <c r="L22" s="41">
        <f t="shared" si="8"/>
        <v>20141610.95026172</v>
      </c>
      <c r="M22" s="41">
        <f t="shared" si="8"/>
        <v>19855336.369272303</v>
      </c>
      <c r="N22" s="41">
        <f t="shared" si="8"/>
        <v>19554748.05923342</v>
      </c>
      <c r="O22" s="41">
        <f t="shared" si="8"/>
        <v>19239130.333692592</v>
      </c>
      <c r="P22" s="41">
        <f t="shared" si="8"/>
        <v>18907731.721874718</v>
      </c>
      <c r="Q22" s="41">
        <f t="shared" si="8"/>
        <v>18559763.179465953</v>
      </c>
      <c r="R22" s="41">
        <f t="shared" si="8"/>
        <v>18194396.209936749</v>
      </c>
      <c r="S22" s="41">
        <f t="shared" si="8"/>
        <v>17810760.891931091</v>
      </c>
      <c r="T22" s="41">
        <f t="shared" si="8"/>
        <v>17407943.80802514</v>
      </c>
      <c r="U22" s="41">
        <f t="shared" si="8"/>
        <v>16984985.869923897</v>
      </c>
      <c r="V22" s="41">
        <f t="shared" si="8"/>
        <v>16540880.034917591</v>
      </c>
      <c r="W22" s="34">
        <f>W21-W20</f>
        <v>231491378.1632196</v>
      </c>
      <c r="X22" s="36" t="s">
        <v>51</v>
      </c>
    </row>
    <row r="23" spans="1:24" s="21" customFormat="1" x14ac:dyDescent="0.35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W23" s="34">
        <f>W22/20</f>
        <v>11574568.908160981</v>
      </c>
      <c r="X23" s="36" t="s">
        <v>49</v>
      </c>
    </row>
    <row r="24" spans="1:24" s="21" customFormat="1" x14ac:dyDescent="0.3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34">
        <f>W23/12</f>
        <v>964547.4090134151</v>
      </c>
      <c r="X24" s="36" t="s">
        <v>50</v>
      </c>
    </row>
    <row r="25" spans="1:24" s="21" customFormat="1" x14ac:dyDescent="0.35">
      <c r="A25" s="54" t="s">
        <v>4</v>
      </c>
      <c r="B25" s="55">
        <v>0</v>
      </c>
      <c r="C25" s="55">
        <v>1</v>
      </c>
      <c r="D25" s="55">
        <v>2</v>
      </c>
      <c r="E25" s="55">
        <v>3</v>
      </c>
      <c r="F25" s="55">
        <v>4</v>
      </c>
      <c r="G25" s="55">
        <v>5</v>
      </c>
      <c r="H25" s="55">
        <v>6</v>
      </c>
      <c r="I25" s="55">
        <v>7</v>
      </c>
      <c r="J25" s="55">
        <v>8</v>
      </c>
      <c r="K25" s="55">
        <v>9</v>
      </c>
      <c r="L25" s="55">
        <v>10</v>
      </c>
      <c r="M25" s="55">
        <v>11</v>
      </c>
      <c r="N25" s="55">
        <v>12</v>
      </c>
      <c r="O25" s="55">
        <v>13</v>
      </c>
      <c r="P25" s="55">
        <v>14</v>
      </c>
      <c r="Q25" s="55">
        <v>15</v>
      </c>
      <c r="R25" s="55">
        <v>16</v>
      </c>
      <c r="S25" s="55">
        <v>17</v>
      </c>
      <c r="T25" s="55">
        <v>18</v>
      </c>
      <c r="U25" s="55">
        <v>19</v>
      </c>
      <c r="V25" s="55">
        <v>20</v>
      </c>
      <c r="W25" s="43"/>
    </row>
    <row r="26" spans="1:24" s="21" customFormat="1" x14ac:dyDescent="0.35">
      <c r="A26" s="54" t="s">
        <v>38</v>
      </c>
      <c r="B26" s="56">
        <v>130000000</v>
      </c>
      <c r="C26" s="56">
        <f>0+B26</f>
        <v>130000000</v>
      </c>
      <c r="D26" s="56">
        <f t="shared" ref="D26:V26" si="9">0+C26</f>
        <v>130000000</v>
      </c>
      <c r="E26" s="56">
        <f t="shared" si="9"/>
        <v>130000000</v>
      </c>
      <c r="F26" s="56">
        <f t="shared" si="9"/>
        <v>130000000</v>
      </c>
      <c r="G26" s="56">
        <f t="shared" si="9"/>
        <v>130000000</v>
      </c>
      <c r="H26" s="56">
        <f t="shared" si="9"/>
        <v>130000000</v>
      </c>
      <c r="I26" s="56">
        <f t="shared" si="9"/>
        <v>130000000</v>
      </c>
      <c r="J26" s="56">
        <f t="shared" si="9"/>
        <v>130000000</v>
      </c>
      <c r="K26" s="56">
        <f t="shared" si="9"/>
        <v>130000000</v>
      </c>
      <c r="L26" s="56">
        <f t="shared" si="9"/>
        <v>130000000</v>
      </c>
      <c r="M26" s="56">
        <f t="shared" si="9"/>
        <v>130000000</v>
      </c>
      <c r="N26" s="56">
        <f t="shared" si="9"/>
        <v>130000000</v>
      </c>
      <c r="O26" s="56">
        <f t="shared" si="9"/>
        <v>130000000</v>
      </c>
      <c r="P26" s="56">
        <f t="shared" si="9"/>
        <v>130000000</v>
      </c>
      <c r="Q26" s="56">
        <f t="shared" si="9"/>
        <v>130000000</v>
      </c>
      <c r="R26" s="56">
        <f t="shared" si="9"/>
        <v>130000000</v>
      </c>
      <c r="S26" s="56">
        <f t="shared" si="9"/>
        <v>130000000</v>
      </c>
      <c r="T26" s="56">
        <f t="shared" si="9"/>
        <v>130000000</v>
      </c>
      <c r="U26" s="56">
        <f t="shared" si="9"/>
        <v>130000000</v>
      </c>
      <c r="V26" s="56">
        <f t="shared" si="9"/>
        <v>130000000</v>
      </c>
      <c r="W26" s="42"/>
    </row>
    <row r="27" spans="1:24" s="14" customFormat="1" x14ac:dyDescent="0.35">
      <c r="A27" s="54" t="s">
        <v>37</v>
      </c>
      <c r="B27" s="56">
        <v>0</v>
      </c>
      <c r="C27" s="56">
        <f>C22</f>
        <v>4267102.5700500002</v>
      </c>
      <c r="D27" s="56">
        <f t="shared" ref="D27:V27" si="10">D22</f>
        <v>4087102.5700500002</v>
      </c>
      <c r="E27" s="56">
        <f t="shared" si="10"/>
        <v>3798102.5700500002</v>
      </c>
      <c r="F27" s="56">
        <f t="shared" si="10"/>
        <v>3594652.5700500002</v>
      </c>
      <c r="G27" s="56">
        <f t="shared" si="10"/>
        <v>3381030.0700500002</v>
      </c>
      <c r="H27" s="56">
        <f t="shared" si="10"/>
        <v>3156726.4450500002</v>
      </c>
      <c r="I27" s="56">
        <f t="shared" si="10"/>
        <v>2921207.638799998</v>
      </c>
      <c r="J27" s="56">
        <f t="shared" si="10"/>
        <v>2673912.8922374984</v>
      </c>
      <c r="K27" s="56">
        <f t="shared" si="10"/>
        <v>20414253.408346877</v>
      </c>
      <c r="L27" s="56">
        <f t="shared" si="10"/>
        <v>20141610.95026172</v>
      </c>
      <c r="M27" s="56">
        <f t="shared" si="10"/>
        <v>19855336.369272303</v>
      </c>
      <c r="N27" s="56">
        <f t="shared" si="10"/>
        <v>19554748.05923342</v>
      </c>
      <c r="O27" s="56">
        <f t="shared" si="10"/>
        <v>19239130.333692592</v>
      </c>
      <c r="P27" s="56">
        <f t="shared" si="10"/>
        <v>18907731.721874718</v>
      </c>
      <c r="Q27" s="56">
        <f t="shared" si="10"/>
        <v>18559763.179465953</v>
      </c>
      <c r="R27" s="56">
        <f t="shared" si="10"/>
        <v>18194396.209936749</v>
      </c>
      <c r="S27" s="56">
        <f t="shared" si="10"/>
        <v>17810760.891931091</v>
      </c>
      <c r="T27" s="56">
        <f t="shared" si="10"/>
        <v>17407943.80802514</v>
      </c>
      <c r="U27" s="56">
        <f t="shared" si="10"/>
        <v>16984985.869923897</v>
      </c>
      <c r="V27" s="56">
        <f t="shared" si="10"/>
        <v>16540880.034917591</v>
      </c>
      <c r="W27" s="45"/>
    </row>
    <row r="28" spans="1:24" s="14" customFormat="1" x14ac:dyDescent="0.35">
      <c r="A28" s="54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</row>
    <row r="29" spans="1:24" s="14" customFormat="1" x14ac:dyDescent="0.35">
      <c r="A29" s="16" t="s">
        <v>34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1:24" x14ac:dyDescent="0.35">
      <c r="A30" s="11" t="s">
        <v>46</v>
      </c>
      <c r="B30" s="12">
        <f>NPV(0.05,B21:V21)</f>
        <v>28724627.625042364</v>
      </c>
      <c r="C30" s="18">
        <f>B30/B15</f>
        <v>0.22095867403878741</v>
      </c>
      <c r="D30" t="s">
        <v>33</v>
      </c>
    </row>
    <row r="31" spans="1:24" x14ac:dyDescent="0.35">
      <c r="A31" s="11" t="s">
        <v>29</v>
      </c>
      <c r="B31" s="13">
        <f>IRR(B21:V21)</f>
        <v>6.9509428988336008E-2</v>
      </c>
    </row>
    <row r="32" spans="1:24" x14ac:dyDescent="0.35">
      <c r="A32" s="11" t="s">
        <v>35</v>
      </c>
      <c r="B32" s="20"/>
      <c r="C32" s="19"/>
      <c r="D32" t="s">
        <v>36</v>
      </c>
      <c r="E32" t="s">
        <v>36</v>
      </c>
    </row>
    <row r="33" spans="1:1" x14ac:dyDescent="0.35">
      <c r="A33" s="16" t="s">
        <v>30</v>
      </c>
    </row>
  </sheetData>
  <pageMargins left="0.25" right="0.25" top="0.75" bottom="0.75" header="0.3" footer="0.3"/>
  <pageSetup paperSize="9" scale="3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130ล้าน4พนห้า3.3471บาท 5ชม.N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Chitgasame RM</dc:creator>
  <cp:lastModifiedBy>Sittipat Apaisantipong [lw20sa]</cp:lastModifiedBy>
  <cp:lastPrinted>2024-05-30T00:12:27Z</cp:lastPrinted>
  <dcterms:created xsi:type="dcterms:W3CDTF">2024-04-15T17:25:25Z</dcterms:created>
  <dcterms:modified xsi:type="dcterms:W3CDTF">2024-07-07T20:53:02Z</dcterms:modified>
</cp:coreProperties>
</file>